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fnec_files\chfff\"/>
    </mc:Choice>
  </mc:AlternateContent>
  <bookViews>
    <workbookView xWindow="24" yWindow="0" windowWidth="28776" windowHeight="16476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/>
  <c r="E7" i="1"/>
  <c r="F7" i="1"/>
  <c r="E9" i="1"/>
  <c r="F9" i="1"/>
  <c r="G12" i="1"/>
  <c r="G11" i="1"/>
  <c r="F31" i="1"/>
  <c r="E30" i="1"/>
  <c r="F30" i="1"/>
  <c r="E29" i="1"/>
  <c r="F29" i="1"/>
  <c r="E28" i="1"/>
  <c r="F28" i="1"/>
  <c r="E27" i="1"/>
  <c r="F27" i="1"/>
  <c r="E26" i="1"/>
  <c r="F26" i="1"/>
  <c r="E24" i="1"/>
  <c r="F24" i="1"/>
  <c r="F23" i="1"/>
  <c r="G34" i="1"/>
  <c r="G33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J57" i="1"/>
  <c r="J56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G83" i="1"/>
  <c r="F108" i="1"/>
  <c r="E109" i="1"/>
  <c r="F109" i="1"/>
  <c r="F110" i="1"/>
  <c r="E111" i="1"/>
  <c r="F111" i="1"/>
  <c r="E112" i="1"/>
  <c r="F112" i="1"/>
  <c r="E113" i="1"/>
  <c r="F113" i="1"/>
  <c r="G116" i="1"/>
  <c r="G115" i="1"/>
  <c r="E129" i="1"/>
  <c r="F129" i="1"/>
  <c r="E130" i="1"/>
  <c r="F130" i="1"/>
  <c r="E131" i="1"/>
  <c r="F131" i="1"/>
  <c r="G134" i="1"/>
  <c r="G133" i="1"/>
  <c r="K6" i="1"/>
  <c r="E87" i="1"/>
  <c r="F87" i="1"/>
  <c r="E89" i="1"/>
  <c r="F89" i="1"/>
  <c r="E90" i="1"/>
  <c r="F90" i="1"/>
  <c r="G93" i="1"/>
  <c r="J6" i="1"/>
  <c r="E37" i="1"/>
  <c r="F37" i="1"/>
  <c r="E38" i="1"/>
  <c r="F38" i="1"/>
  <c r="E39" i="1"/>
  <c r="F39" i="1"/>
  <c r="E40" i="1"/>
  <c r="F40" i="1"/>
  <c r="F41" i="1"/>
  <c r="E42" i="1"/>
  <c r="F42" i="1"/>
  <c r="J41" i="1"/>
  <c r="J40" i="1"/>
  <c r="E60" i="1"/>
  <c r="F60" i="1"/>
  <c r="E66" i="1"/>
  <c r="F66" i="1"/>
  <c r="E65" i="1"/>
  <c r="F65" i="1"/>
  <c r="E64" i="1"/>
  <c r="F64" i="1"/>
  <c r="E63" i="1"/>
  <c r="F63" i="1"/>
  <c r="E62" i="1"/>
  <c r="F62" i="1"/>
  <c r="E61" i="1"/>
  <c r="F61" i="1"/>
  <c r="G69" i="1"/>
  <c r="G68" i="1"/>
  <c r="G92" i="1"/>
  <c r="E119" i="1"/>
  <c r="F119" i="1"/>
  <c r="E120" i="1"/>
  <c r="F120" i="1"/>
  <c r="E121" i="1"/>
  <c r="F121" i="1"/>
  <c r="F122" i="1"/>
  <c r="G125" i="1"/>
  <c r="G124" i="1"/>
  <c r="E136" i="1"/>
  <c r="F136" i="1"/>
  <c r="E137" i="1"/>
  <c r="F137" i="1"/>
  <c r="E138" i="1"/>
  <c r="F138" i="1"/>
  <c r="E139" i="1"/>
  <c r="F139" i="1"/>
  <c r="E140" i="1"/>
  <c r="F140" i="1"/>
  <c r="G143" i="1"/>
  <c r="G142" i="1"/>
  <c r="K7" i="1"/>
  <c r="G84" i="1"/>
  <c r="J7" i="1"/>
  <c r="E41" i="1"/>
  <c r="E55" i="1"/>
  <c r="G57" i="1"/>
  <c r="G56" i="1"/>
  <c r="E54" i="1"/>
  <c r="E122" i="1"/>
  <c r="E110" i="1"/>
  <c r="E108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G105" i="1"/>
  <c r="G104" i="1"/>
  <c r="G45" i="1"/>
  <c r="G44" i="1"/>
  <c r="E25" i="1"/>
  <c r="E23" i="1"/>
</calcChain>
</file>

<file path=xl/sharedStrings.xml><?xml version="1.0" encoding="utf-8"?>
<sst xmlns="http://schemas.openxmlformats.org/spreadsheetml/2006/main" count="300" uniqueCount="197">
  <si>
    <t>Banana (large)</t>
  </si>
  <si>
    <t xml:space="preserve">12oz </t>
  </si>
  <si>
    <t>2 cups</t>
  </si>
  <si>
    <t>3/4 cups</t>
  </si>
  <si>
    <t>2.99 per 16 oz</t>
  </si>
  <si>
    <t>Wegman Food You feel Good About Just Picked Whole Strawberries (frozen)/ Strawberries (fresh)</t>
  </si>
  <si>
    <t xml:space="preserve">Wegmans Food You Feel Good About Fat Free Milk </t>
  </si>
  <si>
    <t>Wegmans Food You feel Good About Yogurt, Lowfat, Vanilla Yogurt</t>
  </si>
  <si>
    <t>Pineapple</t>
  </si>
  <si>
    <t>Valencia Orange/Wegmans Food You Feel Good About California Navel Oranges, Family Pack</t>
  </si>
  <si>
    <t>1 for $0.69/ 32oz for $2.99</t>
  </si>
  <si>
    <t>Lemons/ Wegmans Food You Feel Good About Lemons</t>
  </si>
  <si>
    <t>Limes/ Earth Sources Limes, Persian</t>
  </si>
  <si>
    <t>1 for $0.60/32oz $2.99</t>
  </si>
  <si>
    <t>1 for $2.99</t>
  </si>
  <si>
    <t>Seeded Cucumber</t>
  </si>
  <si>
    <t>1 for $0.99</t>
  </si>
  <si>
    <t xml:space="preserve">Food Item </t>
  </si>
  <si>
    <t xml:space="preserve">Cost </t>
  </si>
  <si>
    <t xml:space="preserve">Quantity </t>
  </si>
  <si>
    <t>16oz</t>
  </si>
  <si>
    <t xml:space="preserve">1 gal </t>
  </si>
  <si>
    <t>1 lbs</t>
  </si>
  <si>
    <t>32 oz</t>
  </si>
  <si>
    <t>Quantity Used</t>
  </si>
  <si>
    <t>Cost/Quantity Used</t>
  </si>
  <si>
    <t>Wegmans Food You Feel Good About Black Beans</t>
  </si>
  <si>
    <t>15.5 oz</t>
  </si>
  <si>
    <t>2 15 oz cans</t>
  </si>
  <si>
    <t>*recipe calls for 15 ounce, price based on 15.5 ounce can</t>
  </si>
  <si>
    <t>16 oz</t>
  </si>
  <si>
    <t>12 oz</t>
  </si>
  <si>
    <t>Wegmans Food You feel Good About Just Picked and Quickly Frozen Corn, Whole Kernel Sweet</t>
  </si>
  <si>
    <t>Wegmans Tomatoes, Diced, No Salt Added</t>
  </si>
  <si>
    <t>14.5oz</t>
  </si>
  <si>
    <t xml:space="preserve">1 can </t>
  </si>
  <si>
    <t>*recipe calls for 15 ounce, price based on 14.5 ounce</t>
  </si>
  <si>
    <t>Spice Classics Chili Powder</t>
  </si>
  <si>
    <t>2.87 oz</t>
  </si>
  <si>
    <t>1 tsp</t>
  </si>
  <si>
    <t>Wegmans Food You Feel Good About Yellow Onions</t>
  </si>
  <si>
    <t>2 lbs</t>
  </si>
  <si>
    <t>.25 cups</t>
  </si>
  <si>
    <t>3 Tbsp</t>
  </si>
  <si>
    <t>RealLime 100% Lime Juice Natural Strength</t>
  </si>
  <si>
    <t>Wegmans Olive Oil, Pure</t>
  </si>
  <si>
    <t>101 fl. Oz.</t>
  </si>
  <si>
    <t>2 Tbsp</t>
  </si>
  <si>
    <t>Wegmans Salt, Iodized</t>
  </si>
  <si>
    <t>.5 tsp</t>
  </si>
  <si>
    <t>26 oz</t>
  </si>
  <si>
    <t>Green Bell Pepper</t>
  </si>
  <si>
    <t>1 lb</t>
  </si>
  <si>
    <t>1 (.55 lb)</t>
  </si>
  <si>
    <t>Total Price Per Serving (1/2 cup)</t>
  </si>
  <si>
    <t>Price per Unit</t>
  </si>
  <si>
    <t xml:space="preserve">Chobani yogurt, greek, Non-fat, Plain </t>
  </si>
  <si>
    <t>8 oz</t>
  </si>
  <si>
    <t>Kraft Mayo Mayonnaise, Reduced Fat, with Olive Oil</t>
  </si>
  <si>
    <t>30 oz</t>
  </si>
  <si>
    <t>4 oz</t>
  </si>
  <si>
    <t>1/2 cups</t>
  </si>
  <si>
    <t>Hidden Valley Ranch Gluten Free Salad Dressing and Seasoning Mix</t>
  </si>
  <si>
    <t>1 oz</t>
  </si>
  <si>
    <t>0.5 oz</t>
  </si>
  <si>
    <t>Total Price Per Serving (2 Tbsp)</t>
  </si>
  <si>
    <t>Wegmans Italian Classics Garbanzo Beans</t>
  </si>
  <si>
    <t>15 oz (1 can)</t>
  </si>
  <si>
    <t>Spice Classis Garlic Powder</t>
  </si>
  <si>
    <t>2.5 oz</t>
  </si>
  <si>
    <t>0.0208333 oz</t>
  </si>
  <si>
    <t xml:space="preserve">Wegmans 100% Juice, Lemon </t>
  </si>
  <si>
    <t>32 fl. Oz</t>
  </si>
  <si>
    <t>1.5 oz</t>
  </si>
  <si>
    <t>Wegmans Food You Fell Good About Tahini Butter, Organic</t>
  </si>
  <si>
    <t>.5 oz</t>
  </si>
  <si>
    <t>Spice Classics Paprika</t>
  </si>
  <si>
    <t>Wegmans Food You Feel Good About Sugar, White Granulated</t>
  </si>
  <si>
    <t>80 oz</t>
  </si>
  <si>
    <t>Spice Classics Cinnamon Ground</t>
  </si>
  <si>
    <t>2.37 oz</t>
  </si>
  <si>
    <t>Wegmans Food You Feel Good About Apples, Gala</t>
  </si>
  <si>
    <t>48 oz</t>
  </si>
  <si>
    <t xml:space="preserve">Wegmans Cooking Spray, Canola Oil </t>
  </si>
  <si>
    <t>6 oz</t>
  </si>
  <si>
    <t>2 sprays (1/4 sec)</t>
  </si>
  <si>
    <t>6 oz (565 sprays)</t>
  </si>
  <si>
    <t>Chi Chis Tortillas, Fajita Style, Whole Wheat</t>
  </si>
  <si>
    <t>8 tortillas</t>
  </si>
  <si>
    <t>4 tortillas</t>
  </si>
  <si>
    <t>Wegmans Vegetable Oil</t>
  </si>
  <si>
    <t>128 oz</t>
  </si>
  <si>
    <t>0.33333 oz</t>
  </si>
  <si>
    <t>Total Price Per Serving (half a wrap)</t>
  </si>
  <si>
    <t>Wegmans Food You Feel Good About Oats, Old Fashioned</t>
  </si>
  <si>
    <t>42 oz</t>
  </si>
  <si>
    <t>1.5 cups</t>
  </si>
  <si>
    <t>Wegmans Food You Feel Good About Flour, All Purpose</t>
  </si>
  <si>
    <t>Pillsbury Best Flour, All Purpose, Bleached, Enriched</t>
  </si>
  <si>
    <t>Wegmans Baking Powder, Double Acting</t>
  </si>
  <si>
    <t>10 oz</t>
  </si>
  <si>
    <t>Wegmans Food You Feel Good About Flour, Whole Wheat</t>
  </si>
  <si>
    <t>Wegmans Food You Feel Good About Eggs, Large (one dozen)</t>
  </si>
  <si>
    <t>1 dozen</t>
  </si>
  <si>
    <t>2 eggs</t>
  </si>
  <si>
    <t>Wegmans Food You Feel Good About Applesauce Natural, No Sugar Added</t>
  </si>
  <si>
    <t>46 oz</t>
  </si>
  <si>
    <t>24 oz</t>
  </si>
  <si>
    <t>Total Price Per Serving (1 pancake and 1/4 cup of applesauce)</t>
  </si>
  <si>
    <t>Wegmans Organic Mini 100% Whole Wheat Pita Pockets</t>
  </si>
  <si>
    <t>14 pitas</t>
  </si>
  <si>
    <t>12 pitas</t>
  </si>
  <si>
    <t>1 cucumber</t>
  </si>
  <si>
    <t>Wegmans Organic Food You Feel Good About Carrots, FAMILY PACK</t>
  </si>
  <si>
    <t>5.6 oz (1 bunch of 6 carrots is .7 lb)</t>
  </si>
  <si>
    <t>16 fl oz.</t>
  </si>
  <si>
    <t>2 oz</t>
  </si>
  <si>
    <t>Wegmans Dressing, Ranch, Light</t>
  </si>
  <si>
    <t>Total Price Per Serving (1 pita pocket)</t>
  </si>
  <si>
    <t>Fleischmann's RapidRise Instant Yeast, Fast Acting</t>
  </si>
  <si>
    <t>3 packages</t>
  </si>
  <si>
    <t>1 package</t>
  </si>
  <si>
    <t>Village Farm Dry Milk, Instant Nonfat</t>
  </si>
  <si>
    <t>25.6 oz</t>
  </si>
  <si>
    <t>Total Price Per Serving (1 slice)</t>
  </si>
  <si>
    <t>1/2 can</t>
  </si>
  <si>
    <t>Wegmans Food You Feel Good About Organic Medium Salsa,  FAMILY PACK</t>
  </si>
  <si>
    <t>90 oz</t>
  </si>
  <si>
    <t>Wegmans 2% Milk All Natural Cheese, Mexican, Fancy Shredded</t>
  </si>
  <si>
    <t>Wegmans Food You Feel Good About Just Picked Broccoli Cuts</t>
  </si>
  <si>
    <t>Total Price Per Serving (1/2 tortilla)</t>
  </si>
  <si>
    <t>Wegmans, 2% Milk All Natural Cheese, Sharp Cheddar, Shredded</t>
  </si>
  <si>
    <t>8 oz.</t>
  </si>
  <si>
    <t>8oz</t>
  </si>
  <si>
    <t xml:space="preserve">Wegmans Food You Feel Good About Yogurt, Lowfat, Plain </t>
  </si>
  <si>
    <t xml:space="preserve">Kelloggs Granola, Low Fat, Original </t>
  </si>
  <si>
    <t>*whole grain cereal would be cheaper</t>
  </si>
  <si>
    <t>Wegmans Food You Feel Good About Oats, Quick Oats</t>
  </si>
  <si>
    <t>Wegmans Food You Feel Good About Raisins, Seedless</t>
  </si>
  <si>
    <t>20 oz</t>
  </si>
  <si>
    <t>Craisins Ocean Spray</t>
  </si>
  <si>
    <t>36 oz</t>
  </si>
  <si>
    <t xml:space="preserve">Wegmans Food You Feeld Good About Almonds, Raw, FAMILY PACK </t>
  </si>
  <si>
    <t>16 cups</t>
  </si>
  <si>
    <t>13a. Top Your Own Oatmeal</t>
  </si>
  <si>
    <t>12. Breakfast Parfait</t>
  </si>
  <si>
    <t>11. Tortilla Roll-ups</t>
  </si>
  <si>
    <t>10. Broccoli and Black Bean Quesadilla</t>
  </si>
  <si>
    <t>8. Veggie Pick-Pockets</t>
  </si>
  <si>
    <t>7. Oatmeal Pancakes with Applesauce</t>
  </si>
  <si>
    <t>6. Apple Cinnamon Wrap and Roll</t>
  </si>
  <si>
    <t>5. Hummus with Veggies and Pita</t>
  </si>
  <si>
    <t>4. Low-Fat Ranch Dressing for Salad</t>
  </si>
  <si>
    <t>3.Southwestern Black Bean Salad</t>
  </si>
  <si>
    <t>1. Fruit Yogurt Smoothie</t>
  </si>
  <si>
    <t>Total Price per Serving (1 cup)</t>
  </si>
  <si>
    <t>Total Price per Recipe (12 servings)</t>
  </si>
  <si>
    <t>1 orange</t>
  </si>
  <si>
    <t>1 lemon</t>
  </si>
  <si>
    <t>1 lime</t>
  </si>
  <si>
    <t>3 for $1.00/ 4lb for $4.99 (11-12 oranges), ~.50 for 1 orange</t>
  </si>
  <si>
    <t>All food pricing based on current market prices from Wegmans recorded on 6/9/15</t>
  </si>
  <si>
    <t>CHFFF Recipes - Esimated Cost per Recipe and per Serving</t>
  </si>
  <si>
    <t>Total Price Per Recipe (16 servings)</t>
  </si>
  <si>
    <t>Price Per Serving Including Salad</t>
  </si>
  <si>
    <t>Price Per Recipe Including Salad for 12</t>
  </si>
  <si>
    <t>Total Price Per Recipe (12 svgs), just Hummus</t>
  </si>
  <si>
    <t>Total Price Per Recipe (8 servings)</t>
  </si>
  <si>
    <t>Total Price Per Recipe (12 servings)</t>
  </si>
  <si>
    <t>(Add $2, $.17/svg if optional avocado)</t>
  </si>
  <si>
    <t>1.5 cups (5.3 oz)</t>
  </si>
  <si>
    <t>10.6 oz (about 3 cups)</t>
  </si>
  <si>
    <t>Wegmans food You Feel Good About Baby-Cut Carrots</t>
  </si>
  <si>
    <t>Wegmans Organic 100% Whole Wheat Pita Bread</t>
  </si>
  <si>
    <t>4 pitas</t>
  </si>
  <si>
    <t>Wegmans Food You Feel Good About Fresh Caesar Romaine</t>
  </si>
  <si>
    <t>8.75 cups</t>
  </si>
  <si>
    <t>12 cups</t>
  </si>
  <si>
    <t>7.5 oz (1 bunch of 6 carrots is .7 lb)</t>
  </si>
  <si>
    <t>Total Food Cost for CHFFF Series</t>
  </si>
  <si>
    <t>Cost for Full Recipes, for 12</t>
  </si>
  <si>
    <t>Cost Per Participant</t>
  </si>
  <si>
    <t>Dressing Only:</t>
  </si>
  <si>
    <t>Price Per Recipe Including Salad (for 16)</t>
  </si>
  <si>
    <t>Price Per Serving Including Baby Carrots and Pita</t>
  </si>
  <si>
    <t>Price Per Recipe Including Baby Carrots and Pita (12 servings)</t>
  </si>
  <si>
    <t>Total Price Per Recipe (12 svgs)</t>
  </si>
  <si>
    <t>9. Bread-in-a-Bag (Optional)</t>
  </si>
  <si>
    <t>(Optional Additional Recipe, not included in cost estimates)</t>
  </si>
  <si>
    <t>Total Price per Recipe (11 servings)</t>
  </si>
  <si>
    <t>Total Price per Serving (1/2 cup)</t>
  </si>
  <si>
    <t>Using more expensive recipe per lesson</t>
  </si>
  <si>
    <t>Using less expensive recipe per lesson</t>
  </si>
  <si>
    <t xml:space="preserve">For 12: </t>
  </si>
  <si>
    <r>
      <t>2. Water with a Twist</t>
    </r>
    <r>
      <rPr>
        <sz val="18"/>
        <color theme="1"/>
        <rFont val="Calibri"/>
        <scheme val="minor"/>
      </rPr>
      <t xml:space="preserve"> </t>
    </r>
  </si>
  <si>
    <t>(with 1 orange, 1 lemon, 1 lime)</t>
  </si>
  <si>
    <t>(Salad= 1 cup Romaine &amp; chopped carrots)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</si>
</sst>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\-&quot;$&quot;#,##0.00"/>
    <numFmt numFmtId="165" formatCode="&quot;$&quot;#,##0.00;[Red]&quot;$&quot;#,##0.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 shrinkToFit="1"/>
    </xf>
    <xf numFmtId="0" fontId="3" fillId="0" borderId="0" xfId="0" applyFont="1" applyAlignment="1">
      <alignment wrapText="1" shrinkToFi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0" xfId="0" applyFont="1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0" fillId="0" borderId="0" xfId="0" applyBorder="1"/>
    <xf numFmtId="165" fontId="0" fillId="0" borderId="5" xfId="0" applyNumberFormat="1" applyBorder="1"/>
    <xf numFmtId="165" fontId="0" fillId="0" borderId="0" xfId="0" applyNumberFormat="1" applyBorder="1"/>
    <xf numFmtId="165" fontId="0" fillId="0" borderId="0" xfId="0" applyNumberFormat="1"/>
    <xf numFmtId="165" fontId="4" fillId="0" borderId="2" xfId="0" applyNumberFormat="1" applyFont="1" applyBorder="1"/>
    <xf numFmtId="165" fontId="4" fillId="0" borderId="4" xfId="0" applyNumberFormat="1" applyFont="1" applyBorder="1"/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165" fontId="0" fillId="0" borderId="0" xfId="0" applyNumberFormat="1" applyAlignment="1">
      <alignment wrapText="1"/>
    </xf>
    <xf numFmtId="165" fontId="0" fillId="0" borderId="5" xfId="0" applyNumberForma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4" fillId="0" borderId="6" xfId="0" applyNumberFormat="1" applyFont="1" applyBorder="1"/>
    <xf numFmtId="0" fontId="5" fillId="0" borderId="6" xfId="0" applyFont="1" applyBorder="1"/>
    <xf numFmtId="8" fontId="0" fillId="0" borderId="0" xfId="0" applyNumberFormat="1"/>
    <xf numFmtId="165" fontId="0" fillId="0" borderId="4" xfId="0" applyNumberFormat="1" applyBorder="1"/>
    <xf numFmtId="165" fontId="0" fillId="0" borderId="2" xfId="0" applyNumberFormat="1" applyBorder="1"/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/>
    <xf numFmtId="44" fontId="0" fillId="0" borderId="0" xfId="163" applyFont="1"/>
    <xf numFmtId="0" fontId="4" fillId="0" borderId="0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/>
    <xf numFmtId="0" fontId="4" fillId="0" borderId="8" xfId="0" applyFont="1" applyFill="1" applyBorder="1" applyAlignment="1">
      <alignment wrapText="1"/>
    </xf>
    <xf numFmtId="165" fontId="4" fillId="0" borderId="9" xfId="0" applyNumberFormat="1" applyFont="1" applyBorder="1" applyAlignment="1">
      <alignment wrapText="1"/>
    </xf>
    <xf numFmtId="165" fontId="4" fillId="0" borderId="7" xfId="0" applyNumberFormat="1" applyFont="1" applyBorder="1"/>
    <xf numFmtId="164" fontId="4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 applyFill="1" applyAlignment="1">
      <alignment horizontal="right" wrapText="1"/>
    </xf>
  </cellXfs>
  <cellStyles count="194">
    <cellStyle name="Currency" xfId="16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workbookViewId="0">
      <pane ySplit="3" topLeftCell="A11" activePane="bottomLeft" state="frozen"/>
      <selection pane="bottomLeft" activeCell="I11" sqref="I11"/>
    </sheetView>
  </sheetViews>
  <sheetFormatPr defaultColWidth="11" defaultRowHeight="15.6" x14ac:dyDescent="0.3"/>
  <cols>
    <col min="1" max="1" width="21.796875" style="2" customWidth="1"/>
    <col min="2" max="2" width="11.69921875" style="15" bestFit="1" customWidth="1"/>
    <col min="3" max="3" width="19.19921875" customWidth="1"/>
    <col min="4" max="4" width="29.296875" bestFit="1" customWidth="1"/>
    <col min="5" max="5" width="16.19921875" customWidth="1"/>
    <col min="6" max="6" width="24.19921875" customWidth="1"/>
    <col min="7" max="7" width="11" style="15"/>
    <col min="9" max="9" width="27.69921875" customWidth="1"/>
    <col min="10" max="10" width="19" customWidth="1"/>
    <col min="11" max="11" width="18.796875" customWidth="1"/>
  </cols>
  <sheetData>
    <row r="1" spans="1:11" ht="43.05" customHeight="1" x14ac:dyDescent="0.3">
      <c r="A1" s="18" t="s">
        <v>162</v>
      </c>
      <c r="E1" s="19" t="s">
        <v>161</v>
      </c>
    </row>
    <row r="2" spans="1:11" ht="16.95" customHeight="1" x14ac:dyDescent="0.3"/>
    <row r="3" spans="1:11" s="9" customFormat="1" x14ac:dyDescent="0.3">
      <c r="A3" s="7" t="s">
        <v>17</v>
      </c>
      <c r="B3" s="22" t="s">
        <v>18</v>
      </c>
      <c r="C3" s="8" t="s">
        <v>19</v>
      </c>
      <c r="D3" s="8" t="s">
        <v>24</v>
      </c>
      <c r="E3" s="8" t="s">
        <v>55</v>
      </c>
      <c r="F3" s="8" t="s">
        <v>25</v>
      </c>
      <c r="G3" s="13"/>
    </row>
    <row r="4" spans="1:11" s="12" customFormat="1" x14ac:dyDescent="0.3">
      <c r="A4" s="10"/>
      <c r="B4" s="23"/>
      <c r="C4" s="11"/>
      <c r="D4" s="11"/>
      <c r="E4" s="11"/>
      <c r="F4" s="11"/>
      <c r="G4" s="14"/>
    </row>
    <row r="5" spans="1:11" ht="46.8" x14ac:dyDescent="0.45">
      <c r="A5" s="3" t="s">
        <v>154</v>
      </c>
      <c r="B5" s="21"/>
      <c r="C5" s="1"/>
      <c r="D5" s="1"/>
      <c r="E5" s="1"/>
      <c r="F5" s="1"/>
      <c r="I5" s="35" t="s">
        <v>179</v>
      </c>
      <c r="J5" s="35" t="s">
        <v>180</v>
      </c>
      <c r="K5" s="35" t="s">
        <v>181</v>
      </c>
    </row>
    <row r="6" spans="1:11" ht="79.2" x14ac:dyDescent="0.4">
      <c r="A6" s="2" t="s">
        <v>5</v>
      </c>
      <c r="B6" s="21">
        <v>2.99</v>
      </c>
      <c r="C6" s="1" t="s">
        <v>20</v>
      </c>
      <c r="D6" s="1" t="s">
        <v>1</v>
      </c>
      <c r="E6" s="21">
        <f xml:space="preserve"> 2.99/16</f>
        <v>0.18687500000000001</v>
      </c>
      <c r="F6" s="21">
        <f>12*E6</f>
        <v>2.2425000000000002</v>
      </c>
      <c r="I6" s="35" t="s">
        <v>191</v>
      </c>
      <c r="J6" s="39">
        <f>SUM(G12+G34+J57+G93+G117+G134)</f>
        <v>26.546822572686075</v>
      </c>
      <c r="K6" s="39">
        <f>SUM(G11+G33+J56+G83+G115+G133)</f>
        <v>2.3820888985178597</v>
      </c>
    </row>
    <row r="7" spans="1:11" ht="48" x14ac:dyDescent="0.4">
      <c r="A7" s="2" t="s">
        <v>6</v>
      </c>
      <c r="B7" s="21">
        <v>2.29</v>
      </c>
      <c r="C7" s="1" t="s">
        <v>21</v>
      </c>
      <c r="D7" s="1" t="s">
        <v>2</v>
      </c>
      <c r="E7" s="21">
        <f>2.29/16</f>
        <v>0.143125</v>
      </c>
      <c r="F7" s="21">
        <f>2*E7</f>
        <v>0.28625</v>
      </c>
      <c r="I7" s="35" t="s">
        <v>192</v>
      </c>
      <c r="J7" s="39">
        <f>SUM(G16+J42+G70+G84+G125+G143)</f>
        <v>21.292642112581753</v>
      </c>
      <c r="K7" s="39">
        <f>SUM(G15+J40+G68+G92+G124+G142)</f>
        <v>1.8479845760834117</v>
      </c>
    </row>
    <row r="8" spans="1:11" x14ac:dyDescent="0.3">
      <c r="A8" s="2" t="s">
        <v>0</v>
      </c>
      <c r="B8" s="21">
        <v>0.49</v>
      </c>
      <c r="C8" s="1" t="s">
        <v>22</v>
      </c>
      <c r="D8" s="1">
        <v>1</v>
      </c>
      <c r="E8" s="21">
        <v>0.49</v>
      </c>
      <c r="F8" s="21">
        <v>0.49</v>
      </c>
    </row>
    <row r="9" spans="1:11" ht="46.8" x14ac:dyDescent="0.3">
      <c r="A9" s="2" t="s">
        <v>7</v>
      </c>
      <c r="B9" s="21">
        <v>2.19</v>
      </c>
      <c r="C9" s="1" t="s">
        <v>23</v>
      </c>
      <c r="D9" s="1" t="s">
        <v>3</v>
      </c>
      <c r="E9" s="21">
        <f>2.19/32</f>
        <v>6.8437499999999998E-2</v>
      </c>
      <c r="F9" s="21">
        <f>6*E9</f>
        <v>0.41062500000000002</v>
      </c>
    </row>
    <row r="11" spans="1:11" ht="42" x14ac:dyDescent="0.4">
      <c r="F11" s="4" t="s">
        <v>190</v>
      </c>
      <c r="G11" s="16">
        <f>G12/11</f>
        <v>0.31176136363636364</v>
      </c>
    </row>
    <row r="12" spans="1:11" ht="42" x14ac:dyDescent="0.4">
      <c r="F12" s="5" t="s">
        <v>189</v>
      </c>
      <c r="G12" s="17">
        <f>SUM(F6:F9)</f>
        <v>3.4293749999999998</v>
      </c>
    </row>
    <row r="14" spans="1:11" ht="46.8" x14ac:dyDescent="0.45">
      <c r="A14" s="3" t="s">
        <v>194</v>
      </c>
      <c r="B14" s="41" t="s">
        <v>195</v>
      </c>
    </row>
    <row r="15" spans="1:11" ht="79.2" x14ac:dyDescent="0.4">
      <c r="A15" s="2" t="s">
        <v>9</v>
      </c>
      <c r="C15" t="s">
        <v>157</v>
      </c>
      <c r="D15" s="1" t="s">
        <v>160</v>
      </c>
      <c r="F15" s="4" t="s">
        <v>155</v>
      </c>
      <c r="G15" s="16">
        <v>0.15</v>
      </c>
    </row>
    <row r="16" spans="1:11" ht="48" x14ac:dyDescent="0.4">
      <c r="A16" s="2" t="s">
        <v>11</v>
      </c>
      <c r="C16" t="s">
        <v>158</v>
      </c>
      <c r="D16" t="s">
        <v>10</v>
      </c>
      <c r="F16" s="5" t="s">
        <v>156</v>
      </c>
      <c r="G16" s="17">
        <v>1.79</v>
      </c>
    </row>
    <row r="17" spans="1:7" ht="31.2" x14ac:dyDescent="0.3">
      <c r="A17" s="2" t="s">
        <v>12</v>
      </c>
      <c r="C17" t="s">
        <v>159</v>
      </c>
      <c r="D17" t="s">
        <v>13</v>
      </c>
    </row>
    <row r="18" spans="1:7" ht="78" x14ac:dyDescent="0.3">
      <c r="A18" s="2" t="s">
        <v>5</v>
      </c>
      <c r="D18" t="s">
        <v>4</v>
      </c>
    </row>
    <row r="19" spans="1:7" x14ac:dyDescent="0.3">
      <c r="A19" s="2" t="s">
        <v>8</v>
      </c>
      <c r="D19" t="s">
        <v>14</v>
      </c>
    </row>
    <row r="20" spans="1:7" x14ac:dyDescent="0.3">
      <c r="A20" s="2" t="s">
        <v>15</v>
      </c>
      <c r="D20" t="s">
        <v>16</v>
      </c>
    </row>
    <row r="22" spans="1:7" ht="70.2" x14ac:dyDescent="0.45">
      <c r="A22" s="3" t="s">
        <v>153</v>
      </c>
    </row>
    <row r="23" spans="1:7" ht="31.2" x14ac:dyDescent="0.3">
      <c r="A23" s="2" t="s">
        <v>26</v>
      </c>
      <c r="B23" s="15">
        <v>0.79</v>
      </c>
      <c r="C23" t="s">
        <v>27</v>
      </c>
      <c r="D23" t="s">
        <v>28</v>
      </c>
      <c r="E23">
        <f>0.79/15.5</f>
        <v>5.0967741935483875E-2</v>
      </c>
      <c r="F23">
        <f>2*0.79</f>
        <v>1.58</v>
      </c>
      <c r="G23" s="15" t="s">
        <v>29</v>
      </c>
    </row>
    <row r="24" spans="1:7" ht="78" x14ac:dyDescent="0.3">
      <c r="A24" s="2" t="s">
        <v>32</v>
      </c>
      <c r="B24" s="15">
        <v>0.99</v>
      </c>
      <c r="C24" t="s">
        <v>30</v>
      </c>
      <c r="D24" t="s">
        <v>31</v>
      </c>
      <c r="E24" s="15">
        <f>B24/16</f>
        <v>6.1874999999999999E-2</v>
      </c>
      <c r="F24" s="15">
        <f>E24*12</f>
        <v>0.74249999999999994</v>
      </c>
    </row>
    <row r="25" spans="1:7" ht="31.2" x14ac:dyDescent="0.3">
      <c r="A25" s="2" t="s">
        <v>33</v>
      </c>
      <c r="B25" s="15">
        <v>0.79</v>
      </c>
      <c r="C25" t="s">
        <v>34</v>
      </c>
      <c r="D25" t="s">
        <v>35</v>
      </c>
      <c r="E25" s="15">
        <f>B25/14.5</f>
        <v>5.4482758620689659E-2</v>
      </c>
      <c r="F25" s="15">
        <v>0.79</v>
      </c>
      <c r="G25" s="15" t="s">
        <v>36</v>
      </c>
    </row>
    <row r="26" spans="1:7" ht="31.2" x14ac:dyDescent="0.3">
      <c r="A26" s="2" t="s">
        <v>37</v>
      </c>
      <c r="B26" s="15">
        <v>1</v>
      </c>
      <c r="C26" t="s">
        <v>38</v>
      </c>
      <c r="D26" t="s">
        <v>39</v>
      </c>
      <c r="E26" s="15">
        <f>B26/2.87</f>
        <v>0.34843205574912889</v>
      </c>
      <c r="F26" s="15">
        <f>0.16667*E26</f>
        <v>5.8073170731707313E-2</v>
      </c>
    </row>
    <row r="27" spans="1:7" ht="46.8" x14ac:dyDescent="0.3">
      <c r="A27" s="2" t="s">
        <v>40</v>
      </c>
      <c r="B27" s="15">
        <v>1.69</v>
      </c>
      <c r="C27" t="s">
        <v>41</v>
      </c>
      <c r="D27" t="s">
        <v>42</v>
      </c>
      <c r="E27" s="15">
        <f>B27/32</f>
        <v>5.2812499999999998E-2</v>
      </c>
      <c r="F27" s="15">
        <f>E27*2</f>
        <v>0.105625</v>
      </c>
    </row>
    <row r="28" spans="1:7" ht="31.2" x14ac:dyDescent="0.3">
      <c r="A28" s="2" t="s">
        <v>44</v>
      </c>
      <c r="B28" s="15">
        <v>1.99</v>
      </c>
      <c r="C28">
        <v>8</v>
      </c>
      <c r="D28" t="s">
        <v>43</v>
      </c>
      <c r="E28" s="15">
        <f>1.99/8</f>
        <v>0.24875</v>
      </c>
      <c r="F28" s="15">
        <f>1.5*E28</f>
        <v>0.37312499999999998</v>
      </c>
    </row>
    <row r="29" spans="1:7" x14ac:dyDescent="0.3">
      <c r="A29" s="2" t="s">
        <v>45</v>
      </c>
      <c r="B29" s="15">
        <v>17.489999999999998</v>
      </c>
      <c r="C29" t="s">
        <v>46</v>
      </c>
      <c r="D29" t="s">
        <v>47</v>
      </c>
      <c r="E29" s="15">
        <f>B29/101</f>
        <v>0.17316831683168316</v>
      </c>
      <c r="F29" s="15">
        <f>E29</f>
        <v>0.17316831683168316</v>
      </c>
    </row>
    <row r="30" spans="1:7" x14ac:dyDescent="0.3">
      <c r="A30" s="2" t="s">
        <v>48</v>
      </c>
      <c r="B30" s="15">
        <v>0.59</v>
      </c>
      <c r="C30" t="s">
        <v>50</v>
      </c>
      <c r="D30" t="s">
        <v>49</v>
      </c>
      <c r="E30" s="15">
        <f>B30/26</f>
        <v>2.2692307692307692E-2</v>
      </c>
      <c r="F30" s="15">
        <f>E30*0.083333</f>
        <v>1.891018076923077E-3</v>
      </c>
    </row>
    <row r="31" spans="1:7" x14ac:dyDescent="0.3">
      <c r="A31" s="2" t="s">
        <v>51</v>
      </c>
      <c r="B31" s="15">
        <v>1.99</v>
      </c>
      <c r="C31" t="s">
        <v>52</v>
      </c>
      <c r="D31" t="s">
        <v>53</v>
      </c>
      <c r="E31" s="15">
        <v>1.99</v>
      </c>
      <c r="F31" s="15">
        <f>0.55*1.99</f>
        <v>1.0945</v>
      </c>
    </row>
    <row r="33" spans="1:10" ht="42" x14ac:dyDescent="0.4">
      <c r="F33" s="4" t="s">
        <v>54</v>
      </c>
      <c r="G33" s="16">
        <f>G34/12</f>
        <v>0.40990687547002613</v>
      </c>
    </row>
    <row r="34" spans="1:10" ht="42" x14ac:dyDescent="0.4">
      <c r="F34" s="5" t="s">
        <v>186</v>
      </c>
      <c r="G34" s="17">
        <f>F31+F30+F29+F28+F27+F26+F25+F24+F23</f>
        <v>4.9188825056403136</v>
      </c>
    </row>
    <row r="36" spans="1:10" ht="70.2" x14ac:dyDescent="0.45">
      <c r="A36" s="3" t="s">
        <v>152</v>
      </c>
    </row>
    <row r="37" spans="1:10" ht="31.2" x14ac:dyDescent="0.3">
      <c r="A37" s="2" t="s">
        <v>56</v>
      </c>
      <c r="B37" s="15">
        <v>4.99</v>
      </c>
      <c r="C37" t="s">
        <v>23</v>
      </c>
      <c r="D37" t="s">
        <v>57</v>
      </c>
      <c r="E37" s="15">
        <f>B37/32</f>
        <v>0.15593750000000001</v>
      </c>
      <c r="F37" s="15">
        <f>E37*8</f>
        <v>1.2475000000000001</v>
      </c>
    </row>
    <row r="38" spans="1:10" ht="46.8" x14ac:dyDescent="0.3">
      <c r="A38" s="2" t="s">
        <v>58</v>
      </c>
      <c r="B38" s="15">
        <v>3.99</v>
      </c>
      <c r="C38" t="s">
        <v>59</v>
      </c>
      <c r="D38" t="s">
        <v>60</v>
      </c>
      <c r="E38" s="15">
        <f>B38/30</f>
        <v>0.13300000000000001</v>
      </c>
      <c r="F38" s="15">
        <f>E38*4</f>
        <v>0.53200000000000003</v>
      </c>
    </row>
    <row r="39" spans="1:10" ht="46.8" x14ac:dyDescent="0.3">
      <c r="A39" s="2" t="s">
        <v>6</v>
      </c>
      <c r="B39" s="21">
        <v>2.29</v>
      </c>
      <c r="C39" s="1" t="s">
        <v>21</v>
      </c>
      <c r="D39" s="1" t="s">
        <v>61</v>
      </c>
      <c r="E39" s="21">
        <f>2.29/16</f>
        <v>0.143125</v>
      </c>
      <c r="F39" s="21">
        <f>0.5*E39</f>
        <v>7.1562500000000001E-2</v>
      </c>
    </row>
    <row r="40" spans="1:10" ht="63.6" x14ac:dyDescent="0.4">
      <c r="A40" s="2" t="s">
        <v>62</v>
      </c>
      <c r="B40" s="15">
        <v>1.69</v>
      </c>
      <c r="C40" t="s">
        <v>63</v>
      </c>
      <c r="D40" t="s">
        <v>64</v>
      </c>
      <c r="E40" s="15">
        <f>B40/1</f>
        <v>1.69</v>
      </c>
      <c r="F40" s="15">
        <f>E40*0.5</f>
        <v>0.84499999999999997</v>
      </c>
      <c r="I40" s="29" t="s">
        <v>164</v>
      </c>
      <c r="J40" s="16">
        <f>J41/16</f>
        <v>0.4090982142857143</v>
      </c>
    </row>
    <row r="41" spans="1:10" ht="48" x14ac:dyDescent="0.4">
      <c r="A41" s="20" t="s">
        <v>175</v>
      </c>
      <c r="B41" s="15">
        <v>2.5</v>
      </c>
      <c r="C41" t="s">
        <v>176</v>
      </c>
      <c r="D41" t="s">
        <v>177</v>
      </c>
      <c r="E41" s="33">
        <f>2.5/8.75</f>
        <v>0.2857142857142857</v>
      </c>
      <c r="F41" s="26">
        <f>2.5+(2.5*3.25/8.75)</f>
        <v>3.4285714285714288</v>
      </c>
      <c r="I41" s="30" t="s">
        <v>183</v>
      </c>
      <c r="J41" s="17">
        <f>SUM(F37:F42)</f>
        <v>6.5455714285714288</v>
      </c>
    </row>
    <row r="42" spans="1:10" ht="48" x14ac:dyDescent="0.4">
      <c r="A42" s="2" t="s">
        <v>113</v>
      </c>
      <c r="B42" s="15">
        <v>4.49</v>
      </c>
      <c r="C42" t="s">
        <v>78</v>
      </c>
      <c r="D42" t="s">
        <v>178</v>
      </c>
      <c r="E42" s="15">
        <f>B42/80</f>
        <v>5.6125000000000001E-2</v>
      </c>
      <c r="F42" s="15">
        <f>E42*7.5</f>
        <v>0.42093750000000002</v>
      </c>
      <c r="I42" s="37" t="s">
        <v>165</v>
      </c>
      <c r="J42" s="38">
        <v>4.91</v>
      </c>
    </row>
    <row r="43" spans="1:10" ht="21" x14ac:dyDescent="0.4">
      <c r="A43" s="20"/>
      <c r="F43" s="31"/>
      <c r="G43" s="32"/>
      <c r="I43" s="34"/>
      <c r="J43" s="36"/>
    </row>
    <row r="44" spans="1:10" ht="42" x14ac:dyDescent="0.4">
      <c r="A44" s="20"/>
      <c r="E44" s="35" t="s">
        <v>182</v>
      </c>
      <c r="F44" s="4" t="s">
        <v>65</v>
      </c>
      <c r="G44" s="16">
        <f>G45/16</f>
        <v>0.16850390625</v>
      </c>
      <c r="I44" s="34" t="s">
        <v>196</v>
      </c>
    </row>
    <row r="45" spans="1:10" ht="42" x14ac:dyDescent="0.4">
      <c r="F45" s="5" t="s">
        <v>163</v>
      </c>
      <c r="G45" s="17">
        <f>F37+F38+F39+F40</f>
        <v>2.6960625</v>
      </c>
    </row>
    <row r="46" spans="1:10" ht="46.8" x14ac:dyDescent="0.45">
      <c r="A46" s="3" t="s">
        <v>151</v>
      </c>
    </row>
    <row r="47" spans="1:10" ht="31.2" x14ac:dyDescent="0.3">
      <c r="A47" s="2" t="s">
        <v>66</v>
      </c>
      <c r="B47" s="15">
        <v>0.89</v>
      </c>
      <c r="C47" t="s">
        <v>27</v>
      </c>
      <c r="D47" t="s">
        <v>67</v>
      </c>
      <c r="E47" s="15">
        <f>B47/15.5</f>
        <v>5.7419354838709677E-2</v>
      </c>
      <c r="F47" s="15">
        <f>E47</f>
        <v>5.7419354838709677E-2</v>
      </c>
      <c r="G47" s="15" t="s">
        <v>29</v>
      </c>
    </row>
    <row r="48" spans="1:10" ht="31.2" x14ac:dyDescent="0.3">
      <c r="A48" s="2" t="s">
        <v>68</v>
      </c>
      <c r="B48" s="15">
        <v>1</v>
      </c>
      <c r="C48" t="s">
        <v>69</v>
      </c>
      <c r="D48" t="s">
        <v>70</v>
      </c>
      <c r="E48" s="15">
        <f>B48/2.5</f>
        <v>0.4</v>
      </c>
      <c r="F48" s="15">
        <f>E48*0.0208333</f>
        <v>8.33332E-3</v>
      </c>
    </row>
    <row r="49" spans="1:10" ht="31.2" x14ac:dyDescent="0.3">
      <c r="A49" s="2" t="s">
        <v>71</v>
      </c>
      <c r="B49" s="15">
        <v>2.69</v>
      </c>
      <c r="C49" t="s">
        <v>72</v>
      </c>
      <c r="D49" t="s">
        <v>73</v>
      </c>
      <c r="E49" s="15">
        <f>B49/32</f>
        <v>8.4062499999999998E-2</v>
      </c>
      <c r="F49" s="15">
        <f>E49*1.5</f>
        <v>0.12609375</v>
      </c>
    </row>
    <row r="50" spans="1:10" x14ac:dyDescent="0.3">
      <c r="A50" s="2" t="s">
        <v>48</v>
      </c>
      <c r="B50" s="15">
        <v>0.59</v>
      </c>
      <c r="C50" t="s">
        <v>50</v>
      </c>
      <c r="D50" t="s">
        <v>49</v>
      </c>
      <c r="E50" s="15">
        <f>B50/26</f>
        <v>2.2692307692307692E-2</v>
      </c>
      <c r="F50" s="15">
        <f>E50*0.083333</f>
        <v>1.891018076923077E-3</v>
      </c>
    </row>
    <row r="51" spans="1:10" ht="46.8" x14ac:dyDescent="0.3">
      <c r="A51" s="2" t="s">
        <v>74</v>
      </c>
      <c r="B51" s="15">
        <v>6.99</v>
      </c>
      <c r="C51" t="s">
        <v>30</v>
      </c>
      <c r="D51" t="s">
        <v>73</v>
      </c>
      <c r="E51" s="15">
        <f>B51/16</f>
        <v>0.43687500000000001</v>
      </c>
      <c r="F51" s="15">
        <f>E51*1.5</f>
        <v>0.65531249999999996</v>
      </c>
    </row>
    <row r="52" spans="1:10" x14ac:dyDescent="0.3">
      <c r="A52" s="2" t="s">
        <v>45</v>
      </c>
      <c r="B52" s="15">
        <v>17.489999999999998</v>
      </c>
      <c r="C52" t="s">
        <v>46</v>
      </c>
      <c r="D52" t="s">
        <v>75</v>
      </c>
      <c r="E52" s="15">
        <f>B52/101</f>
        <v>0.17316831683168316</v>
      </c>
      <c r="F52" s="15">
        <f>E52*0.5</f>
        <v>8.6584158415841578E-2</v>
      </c>
    </row>
    <row r="53" spans="1:10" x14ac:dyDescent="0.3">
      <c r="A53" s="2" t="s">
        <v>76</v>
      </c>
      <c r="B53" s="15">
        <v>1</v>
      </c>
      <c r="C53" t="s">
        <v>69</v>
      </c>
      <c r="D53">
        <v>4.1666700000000001E-2</v>
      </c>
      <c r="E53" s="15">
        <f>B53/2.5</f>
        <v>0.4</v>
      </c>
      <c r="F53" s="15">
        <f>E53*D53</f>
        <v>1.666668E-2</v>
      </c>
    </row>
    <row r="54" spans="1:10" ht="46.8" x14ac:dyDescent="0.3">
      <c r="A54" s="2" t="s">
        <v>172</v>
      </c>
      <c r="B54" s="15">
        <v>0.99</v>
      </c>
      <c r="C54" t="s">
        <v>30</v>
      </c>
      <c r="D54" t="s">
        <v>30</v>
      </c>
      <c r="E54" s="26">
        <f>0.99/16</f>
        <v>6.1874999999999999E-2</v>
      </c>
      <c r="F54" s="26">
        <v>0.99</v>
      </c>
    </row>
    <row r="55" spans="1:10" ht="46.8" x14ac:dyDescent="0.3">
      <c r="A55" s="2" t="s">
        <v>173</v>
      </c>
      <c r="B55" s="15">
        <v>2.69</v>
      </c>
      <c r="C55" t="s">
        <v>174</v>
      </c>
      <c r="D55" t="s">
        <v>174</v>
      </c>
      <c r="E55" s="15">
        <f>2.69/4</f>
        <v>0.67249999999999999</v>
      </c>
      <c r="F55" s="15">
        <v>2.69</v>
      </c>
    </row>
    <row r="56" spans="1:10" ht="63" x14ac:dyDescent="0.4">
      <c r="F56" s="4" t="s">
        <v>65</v>
      </c>
      <c r="G56" s="16">
        <f>G57/12</f>
        <v>7.9358398444289532E-2</v>
      </c>
      <c r="I56" s="29" t="s">
        <v>184</v>
      </c>
      <c r="J56" s="28">
        <f>J57/12</f>
        <v>0.38602506511095619</v>
      </c>
    </row>
    <row r="57" spans="1:10" ht="63" x14ac:dyDescent="0.4">
      <c r="A57" s="20"/>
      <c r="F57" s="5" t="s">
        <v>166</v>
      </c>
      <c r="G57" s="17">
        <f>SUM(F47:F53)</f>
        <v>0.95230078133147433</v>
      </c>
      <c r="I57" s="30" t="s">
        <v>185</v>
      </c>
      <c r="J57" s="27">
        <f>SUM(F47:F55)</f>
        <v>4.632300781331474</v>
      </c>
    </row>
    <row r="59" spans="1:10" ht="70.2" x14ac:dyDescent="0.45">
      <c r="A59" s="3" t="s">
        <v>150</v>
      </c>
    </row>
    <row r="60" spans="1:10" ht="46.8" x14ac:dyDescent="0.3">
      <c r="A60" s="2" t="s">
        <v>77</v>
      </c>
      <c r="B60" s="15">
        <v>2.99</v>
      </c>
      <c r="C60" t="s">
        <v>78</v>
      </c>
      <c r="D60" t="s">
        <v>73</v>
      </c>
      <c r="E60" s="15">
        <f>2.99/80</f>
        <v>3.7375000000000005E-2</v>
      </c>
      <c r="F60" s="15">
        <f>E60*1.5</f>
        <v>5.6062500000000008E-2</v>
      </c>
    </row>
    <row r="61" spans="1:10" ht="31.2" x14ac:dyDescent="0.3">
      <c r="A61" s="2" t="s">
        <v>79</v>
      </c>
      <c r="B61" s="15">
        <v>1</v>
      </c>
      <c r="C61" t="s">
        <v>80</v>
      </c>
      <c r="D61">
        <v>0.16667000000000001</v>
      </c>
      <c r="E61" s="15">
        <f>B61/2.37</f>
        <v>0.42194092827004215</v>
      </c>
      <c r="F61" s="15">
        <f>E61*D61</f>
        <v>7.0324894514767936E-2</v>
      </c>
    </row>
    <row r="62" spans="1:10" ht="46.8" x14ac:dyDescent="0.3">
      <c r="A62" s="2" t="s">
        <v>81</v>
      </c>
      <c r="B62" s="15">
        <v>3.99</v>
      </c>
      <c r="C62" t="s">
        <v>82</v>
      </c>
      <c r="D62" t="s">
        <v>30</v>
      </c>
      <c r="E62" s="15">
        <f>3.99/48</f>
        <v>8.3125000000000004E-2</v>
      </c>
      <c r="F62" s="15">
        <f>E62*16</f>
        <v>1.33</v>
      </c>
    </row>
    <row r="63" spans="1:10" ht="46.8" x14ac:dyDescent="0.3">
      <c r="A63" s="2" t="s">
        <v>7</v>
      </c>
      <c r="B63" s="21">
        <v>2.19</v>
      </c>
      <c r="C63" s="1" t="s">
        <v>23</v>
      </c>
      <c r="D63" s="1" t="s">
        <v>3</v>
      </c>
      <c r="E63" s="21">
        <f>2.19/32</f>
        <v>6.8437499999999998E-2</v>
      </c>
      <c r="F63" s="21">
        <f>6*E63</f>
        <v>0.41062500000000002</v>
      </c>
    </row>
    <row r="64" spans="1:10" ht="31.2" x14ac:dyDescent="0.3">
      <c r="A64" s="2" t="s">
        <v>83</v>
      </c>
      <c r="B64" s="15">
        <v>1.99</v>
      </c>
      <c r="C64" t="s">
        <v>86</v>
      </c>
      <c r="D64" t="s">
        <v>85</v>
      </c>
      <c r="E64" s="15">
        <f>1.99/565</f>
        <v>3.5221238938053095E-3</v>
      </c>
      <c r="F64" s="15">
        <f>E64*2</f>
        <v>7.0442477876106191E-3</v>
      </c>
    </row>
    <row r="65" spans="1:7" ht="31.2" x14ac:dyDescent="0.3">
      <c r="A65" s="2" t="s">
        <v>87</v>
      </c>
      <c r="B65" s="15">
        <v>1.99</v>
      </c>
      <c r="C65" t="s">
        <v>88</v>
      </c>
      <c r="D65" t="s">
        <v>89</v>
      </c>
      <c r="E65" s="15">
        <f>1.99/8</f>
        <v>0.24875</v>
      </c>
      <c r="F65" s="15">
        <f>E65*4</f>
        <v>0.995</v>
      </c>
    </row>
    <row r="66" spans="1:7" x14ac:dyDescent="0.3">
      <c r="A66" s="2" t="s">
        <v>90</v>
      </c>
      <c r="B66" s="15">
        <v>5.99</v>
      </c>
      <c r="C66" t="s">
        <v>91</v>
      </c>
      <c r="D66" t="s">
        <v>92</v>
      </c>
      <c r="E66" s="15">
        <f>B66/128</f>
        <v>4.6796875000000002E-2</v>
      </c>
      <c r="F66" s="15">
        <f>E66*0.33333</f>
        <v>1.5598802343750001E-2</v>
      </c>
    </row>
    <row r="68" spans="1:7" ht="63" x14ac:dyDescent="0.4">
      <c r="F68" s="4" t="s">
        <v>93</v>
      </c>
      <c r="G68" s="16">
        <f>G69/8</f>
        <v>0.3605819305807661</v>
      </c>
    </row>
    <row r="69" spans="1:7" ht="42" x14ac:dyDescent="0.4">
      <c r="F69" s="5" t="s">
        <v>167</v>
      </c>
      <c r="G69" s="17">
        <f>SUM(F60+F66+F65+F64+F63+F62+F61)</f>
        <v>2.8846554446461288</v>
      </c>
    </row>
    <row r="70" spans="1:7" ht="21" x14ac:dyDescent="0.4">
      <c r="F70" s="42" t="s">
        <v>193</v>
      </c>
      <c r="G70" s="40">
        <v>4.32</v>
      </c>
    </row>
    <row r="71" spans="1:7" ht="70.2" x14ac:dyDescent="0.45">
      <c r="A71" s="3" t="s">
        <v>149</v>
      </c>
    </row>
    <row r="72" spans="1:7" ht="46.8" x14ac:dyDescent="0.3">
      <c r="A72" s="2" t="s">
        <v>94</v>
      </c>
      <c r="B72" s="15">
        <v>3.29</v>
      </c>
      <c r="C72" t="s">
        <v>95</v>
      </c>
      <c r="D72" t="s">
        <v>84</v>
      </c>
      <c r="E72" s="15">
        <f>B72/42</f>
        <v>7.8333333333333338E-2</v>
      </c>
      <c r="F72" s="15">
        <f>E72*6</f>
        <v>0.47000000000000003</v>
      </c>
    </row>
    <row r="73" spans="1:7" ht="46.8" x14ac:dyDescent="0.3">
      <c r="A73" s="2" t="s">
        <v>6</v>
      </c>
      <c r="B73" s="21">
        <v>2.29</v>
      </c>
      <c r="C73" s="1" t="s">
        <v>21</v>
      </c>
      <c r="D73" s="1" t="s">
        <v>96</v>
      </c>
      <c r="E73" s="21">
        <f>2.29/16</f>
        <v>0.143125</v>
      </c>
      <c r="F73" s="21">
        <f>1.5*E73</f>
        <v>0.2146875</v>
      </c>
    </row>
    <row r="74" spans="1:7" ht="46.8" x14ac:dyDescent="0.3">
      <c r="A74" s="2" t="s">
        <v>98</v>
      </c>
      <c r="B74" s="15">
        <v>2.69</v>
      </c>
      <c r="C74" t="s">
        <v>78</v>
      </c>
      <c r="D74" t="s">
        <v>84</v>
      </c>
      <c r="E74" s="15">
        <f>B74/80</f>
        <v>3.3625000000000002E-2</v>
      </c>
      <c r="F74" s="15">
        <f>E74*6</f>
        <v>0.20175000000000001</v>
      </c>
    </row>
    <row r="75" spans="1:7" ht="46.8" x14ac:dyDescent="0.3">
      <c r="A75" s="2" t="s">
        <v>101</v>
      </c>
      <c r="B75" s="15">
        <v>2.99</v>
      </c>
      <c r="C75" t="s">
        <v>78</v>
      </c>
      <c r="D75" t="s">
        <v>60</v>
      </c>
      <c r="E75" s="15">
        <f>B75/80</f>
        <v>3.7375000000000005E-2</v>
      </c>
      <c r="F75" s="15">
        <f>E75*4</f>
        <v>0.14950000000000002</v>
      </c>
    </row>
    <row r="76" spans="1:7" ht="46.8" x14ac:dyDescent="0.3">
      <c r="A76" s="2" t="s">
        <v>77</v>
      </c>
      <c r="B76" s="15">
        <v>2.99</v>
      </c>
      <c r="C76" t="s">
        <v>78</v>
      </c>
      <c r="D76" t="s">
        <v>73</v>
      </c>
      <c r="E76" s="15">
        <f>2.99/80</f>
        <v>3.7375000000000005E-2</v>
      </c>
      <c r="F76" s="15">
        <f>E76*1.5</f>
        <v>5.6062500000000008E-2</v>
      </c>
    </row>
    <row r="77" spans="1:7" ht="31.2" x14ac:dyDescent="0.3">
      <c r="A77" s="2" t="s">
        <v>99</v>
      </c>
      <c r="B77" s="15">
        <v>1.79</v>
      </c>
      <c r="C77" t="s">
        <v>100</v>
      </c>
      <c r="D77" t="s">
        <v>75</v>
      </c>
      <c r="E77" s="15">
        <f>B77/10</f>
        <v>0.17899999999999999</v>
      </c>
      <c r="F77" s="15">
        <f>E77*0.5</f>
        <v>8.9499999999999996E-2</v>
      </c>
    </row>
    <row r="78" spans="1:7" x14ac:dyDescent="0.3">
      <c r="A78" s="2" t="s">
        <v>48</v>
      </c>
      <c r="B78" s="15">
        <v>0.59</v>
      </c>
      <c r="C78" t="s">
        <v>50</v>
      </c>
      <c r="D78" t="s">
        <v>49</v>
      </c>
      <c r="E78" s="15">
        <f>B78/26</f>
        <v>2.2692307692307692E-2</v>
      </c>
      <c r="F78" s="15">
        <f>E78*0.083333</f>
        <v>1.891018076923077E-3</v>
      </c>
    </row>
    <row r="79" spans="1:7" ht="46.8" x14ac:dyDescent="0.3">
      <c r="A79" s="2" t="s">
        <v>102</v>
      </c>
      <c r="B79" s="15">
        <v>2.69</v>
      </c>
      <c r="C79" t="s">
        <v>103</v>
      </c>
      <c r="D79" t="s">
        <v>104</v>
      </c>
      <c r="E79" s="15">
        <f>2.69/12</f>
        <v>0.22416666666666665</v>
      </c>
      <c r="F79" s="15">
        <f>E79*2</f>
        <v>0.44833333333333331</v>
      </c>
    </row>
    <row r="80" spans="1:7" x14ac:dyDescent="0.3">
      <c r="A80" s="2" t="s">
        <v>90</v>
      </c>
      <c r="B80" s="15">
        <v>5.99</v>
      </c>
      <c r="C80" t="s">
        <v>91</v>
      </c>
      <c r="D80" t="s">
        <v>64</v>
      </c>
      <c r="E80" s="15">
        <f>B80/128</f>
        <v>4.6796875000000002E-2</v>
      </c>
      <c r="F80" s="15">
        <f>E80*0.5</f>
        <v>2.3398437500000001E-2</v>
      </c>
    </row>
    <row r="81" spans="1:7" ht="62.4" x14ac:dyDescent="0.3">
      <c r="A81" s="2" t="s">
        <v>105</v>
      </c>
      <c r="B81" s="15">
        <v>2.4900000000000002</v>
      </c>
      <c r="C81" t="s">
        <v>106</v>
      </c>
      <c r="D81" t="s">
        <v>107</v>
      </c>
      <c r="E81" s="15">
        <f>B81/46</f>
        <v>5.4130434782608698E-2</v>
      </c>
      <c r="F81" s="15">
        <f>E81*24</f>
        <v>1.2991304347826087</v>
      </c>
    </row>
    <row r="83" spans="1:7" ht="84" x14ac:dyDescent="0.4">
      <c r="F83" s="4" t="s">
        <v>108</v>
      </c>
      <c r="G83" s="16">
        <f>(SUM(F72:F80)/12)+(F81/4)</f>
        <v>0.46270950777150688</v>
      </c>
    </row>
    <row r="84" spans="1:7" ht="42" x14ac:dyDescent="0.4">
      <c r="F84" s="5" t="s">
        <v>168</v>
      </c>
      <c r="G84" s="17">
        <f>SUM(F72:F81)</f>
        <v>2.9542532236928647</v>
      </c>
    </row>
    <row r="86" spans="1:7" ht="46.8" x14ac:dyDescent="0.45">
      <c r="A86" s="3" t="s">
        <v>148</v>
      </c>
    </row>
    <row r="87" spans="1:7" ht="46.8" x14ac:dyDescent="0.3">
      <c r="A87" s="2" t="s">
        <v>109</v>
      </c>
      <c r="B87" s="15">
        <v>2.69</v>
      </c>
      <c r="C87" t="s">
        <v>110</v>
      </c>
      <c r="D87" t="s">
        <v>111</v>
      </c>
      <c r="E87" s="15">
        <f>2.69/14</f>
        <v>0.19214285714285714</v>
      </c>
      <c r="F87" s="15">
        <f>E87*12</f>
        <v>2.3057142857142856</v>
      </c>
    </row>
    <row r="88" spans="1:7" x14ac:dyDescent="0.3">
      <c r="A88" s="2" t="s">
        <v>15</v>
      </c>
      <c r="B88" s="15">
        <v>0.99</v>
      </c>
      <c r="C88" t="s">
        <v>112</v>
      </c>
      <c r="D88" t="s">
        <v>112</v>
      </c>
      <c r="E88" s="15">
        <v>0.99</v>
      </c>
      <c r="F88" s="15">
        <v>0.99</v>
      </c>
    </row>
    <row r="89" spans="1:7" ht="46.8" x14ac:dyDescent="0.3">
      <c r="A89" s="2" t="s">
        <v>113</v>
      </c>
      <c r="B89" s="15">
        <v>4.49</v>
      </c>
      <c r="C89" t="s">
        <v>78</v>
      </c>
      <c r="D89" t="s">
        <v>114</v>
      </c>
      <c r="E89" s="15">
        <f>B89/80</f>
        <v>5.6125000000000001E-2</v>
      </c>
      <c r="F89" s="15">
        <f>E89*5.6</f>
        <v>0.31429999999999997</v>
      </c>
    </row>
    <row r="90" spans="1:7" ht="31.2" x14ac:dyDescent="0.3">
      <c r="A90" s="2" t="s">
        <v>117</v>
      </c>
      <c r="B90" s="15">
        <v>1.69</v>
      </c>
      <c r="C90" t="s">
        <v>115</v>
      </c>
      <c r="D90" t="s">
        <v>116</v>
      </c>
      <c r="E90" s="15">
        <f>B90/16</f>
        <v>0.105625</v>
      </c>
      <c r="F90" s="15">
        <f>E90*2</f>
        <v>0.21124999999999999</v>
      </c>
    </row>
    <row r="92" spans="1:7" ht="63" x14ac:dyDescent="0.4">
      <c r="F92" s="4" t="s">
        <v>118</v>
      </c>
      <c r="G92" s="16">
        <f>G93/12</f>
        <v>0.31843869047619044</v>
      </c>
    </row>
    <row r="93" spans="1:7" ht="42" x14ac:dyDescent="0.4">
      <c r="F93" s="5" t="s">
        <v>168</v>
      </c>
      <c r="G93" s="17">
        <f>SUM(F87:F90)</f>
        <v>3.8212642857142853</v>
      </c>
    </row>
    <row r="95" spans="1:7" ht="46.8" x14ac:dyDescent="0.45">
      <c r="A95" s="3" t="s">
        <v>187</v>
      </c>
    </row>
    <row r="96" spans="1:7" ht="46.8" x14ac:dyDescent="0.3">
      <c r="A96" s="2" t="s">
        <v>97</v>
      </c>
      <c r="B96" s="15">
        <v>1.79</v>
      </c>
      <c r="C96" t="s">
        <v>78</v>
      </c>
      <c r="D96" t="s">
        <v>57</v>
      </c>
      <c r="E96" s="15">
        <f>B96/80</f>
        <v>2.2374999999999999E-2</v>
      </c>
      <c r="F96" s="15">
        <f>E96*8</f>
        <v>0.17899999999999999</v>
      </c>
    </row>
    <row r="97" spans="1:8" ht="46.8" x14ac:dyDescent="0.3">
      <c r="A97" s="2" t="s">
        <v>101</v>
      </c>
      <c r="B97" s="15">
        <v>2.99</v>
      </c>
      <c r="C97" t="s">
        <v>78</v>
      </c>
      <c r="D97" t="s">
        <v>30</v>
      </c>
      <c r="E97" s="15">
        <f>B97/80</f>
        <v>3.7375000000000005E-2</v>
      </c>
      <c r="F97" s="15">
        <f>E97*16</f>
        <v>0.59800000000000009</v>
      </c>
    </row>
    <row r="98" spans="1:8" ht="46.8" x14ac:dyDescent="0.3">
      <c r="A98" s="2" t="s">
        <v>119</v>
      </c>
      <c r="B98" s="15">
        <v>1.59</v>
      </c>
      <c r="C98" t="s">
        <v>120</v>
      </c>
      <c r="D98" t="s">
        <v>121</v>
      </c>
      <c r="E98" s="15">
        <f>B98/3</f>
        <v>0.53</v>
      </c>
      <c r="F98" s="15">
        <f>E98</f>
        <v>0.53</v>
      </c>
    </row>
    <row r="99" spans="1:8" ht="46.8" x14ac:dyDescent="0.3">
      <c r="A99" s="2" t="s">
        <v>77</v>
      </c>
      <c r="B99" s="15">
        <v>2.99</v>
      </c>
      <c r="C99" t="s">
        <v>78</v>
      </c>
      <c r="D99" t="s">
        <v>63</v>
      </c>
      <c r="E99" s="15">
        <f>2.99/80</f>
        <v>3.7375000000000005E-2</v>
      </c>
      <c r="F99" s="15">
        <f>E99*1</f>
        <v>3.7375000000000005E-2</v>
      </c>
    </row>
    <row r="100" spans="1:8" ht="31.2" x14ac:dyDescent="0.3">
      <c r="A100" s="2" t="s">
        <v>122</v>
      </c>
      <c r="B100" s="15">
        <v>7.99</v>
      </c>
      <c r="C100" t="s">
        <v>123</v>
      </c>
      <c r="D100" t="s">
        <v>73</v>
      </c>
      <c r="E100" s="15">
        <f>B100/25.6</f>
        <v>0.31210937499999997</v>
      </c>
      <c r="F100" s="15">
        <f>E100*1.5</f>
        <v>0.46816406249999998</v>
      </c>
    </row>
    <row r="101" spans="1:8" x14ac:dyDescent="0.3">
      <c r="A101" s="2" t="s">
        <v>48</v>
      </c>
      <c r="B101" s="15">
        <v>0.59</v>
      </c>
      <c r="C101" t="s">
        <v>50</v>
      </c>
      <c r="D101" t="s">
        <v>39</v>
      </c>
      <c r="E101" s="15">
        <f>B101/26</f>
        <v>2.2692307692307692E-2</v>
      </c>
      <c r="F101" s="15">
        <f>E101*0.166667</f>
        <v>3.7820588461538462E-3</v>
      </c>
    </row>
    <row r="102" spans="1:8" x14ac:dyDescent="0.3">
      <c r="A102" s="2" t="s">
        <v>90</v>
      </c>
      <c r="B102" s="15">
        <v>5.99</v>
      </c>
      <c r="C102" t="s">
        <v>91</v>
      </c>
      <c r="D102" t="s">
        <v>64</v>
      </c>
      <c r="E102" s="15">
        <f>B102/128</f>
        <v>4.6796875000000002E-2</v>
      </c>
      <c r="F102" s="15">
        <f>E102*0.5</f>
        <v>2.3398437500000001E-2</v>
      </c>
    </row>
    <row r="104" spans="1:8" ht="42" x14ac:dyDescent="0.4">
      <c r="F104" s="4" t="s">
        <v>124</v>
      </c>
      <c r="G104" s="16">
        <f>G105/12</f>
        <v>0.15330996323717949</v>
      </c>
      <c r="H104" t="s">
        <v>188</v>
      </c>
    </row>
    <row r="105" spans="1:8" ht="42" x14ac:dyDescent="0.4">
      <c r="F105" s="5" t="s">
        <v>168</v>
      </c>
      <c r="G105" s="17">
        <f>SUM(F96:F102)</f>
        <v>1.8397195588461539</v>
      </c>
    </row>
    <row r="106" spans="1:8" x14ac:dyDescent="0.3">
      <c r="F106" s="1"/>
    </row>
    <row r="107" spans="1:8" ht="70.2" x14ac:dyDescent="0.45">
      <c r="A107" s="3" t="s">
        <v>147</v>
      </c>
    </row>
    <row r="108" spans="1:8" ht="31.2" x14ac:dyDescent="0.3">
      <c r="A108" s="2" t="s">
        <v>26</v>
      </c>
      <c r="B108" s="15">
        <v>0.79</v>
      </c>
      <c r="C108" t="s">
        <v>27</v>
      </c>
      <c r="D108" t="s">
        <v>125</v>
      </c>
      <c r="E108" s="15">
        <f>0.79/15.5</f>
        <v>5.0967741935483875E-2</v>
      </c>
      <c r="F108" s="15">
        <f>B108/2</f>
        <v>0.39500000000000002</v>
      </c>
    </row>
    <row r="109" spans="1:8" ht="62.4" x14ac:dyDescent="0.3">
      <c r="A109" s="2" t="s">
        <v>126</v>
      </c>
      <c r="B109" s="15">
        <v>8.99</v>
      </c>
      <c r="C109" t="s">
        <v>127</v>
      </c>
      <c r="D109" t="s">
        <v>116</v>
      </c>
      <c r="E109" s="15">
        <f>8.99/90</f>
        <v>9.9888888888888888E-2</v>
      </c>
      <c r="F109" s="15">
        <f>E109*2</f>
        <v>0.19977777777777778</v>
      </c>
    </row>
    <row r="110" spans="1:8" ht="62.4" x14ac:dyDescent="0.3">
      <c r="A110" s="20" t="s">
        <v>128</v>
      </c>
      <c r="B110" s="15">
        <v>2.69</v>
      </c>
      <c r="C110" t="s">
        <v>57</v>
      </c>
      <c r="D110" t="s">
        <v>60</v>
      </c>
      <c r="E110" s="15">
        <f>B110/8</f>
        <v>0.33624999999999999</v>
      </c>
      <c r="F110" s="15">
        <f>2.69/2</f>
        <v>1.345</v>
      </c>
    </row>
    <row r="111" spans="1:8" ht="46.8" x14ac:dyDescent="0.3">
      <c r="A111" s="2" t="s">
        <v>129</v>
      </c>
      <c r="B111" s="15">
        <v>0.99</v>
      </c>
      <c r="C111" t="s">
        <v>30</v>
      </c>
      <c r="D111" t="s">
        <v>57</v>
      </c>
      <c r="E111" s="15">
        <f>B111/16</f>
        <v>6.1874999999999999E-2</v>
      </c>
      <c r="F111" s="15">
        <f>E111*8</f>
        <v>0.495</v>
      </c>
    </row>
    <row r="112" spans="1:8" ht="31.2" x14ac:dyDescent="0.3">
      <c r="A112" s="2" t="s">
        <v>83</v>
      </c>
      <c r="B112" s="15">
        <v>1.99</v>
      </c>
      <c r="C112" t="s">
        <v>86</v>
      </c>
      <c r="D112" t="s">
        <v>85</v>
      </c>
      <c r="E112" s="15">
        <f>1.99/565</f>
        <v>3.5221238938053095E-3</v>
      </c>
      <c r="F112" s="15">
        <f>E112*2</f>
        <v>7.0442477876106191E-3</v>
      </c>
    </row>
    <row r="113" spans="1:7" ht="31.2" x14ac:dyDescent="0.3">
      <c r="A113" s="2" t="s">
        <v>87</v>
      </c>
      <c r="B113" s="15">
        <v>1.99</v>
      </c>
      <c r="C113" t="s">
        <v>88</v>
      </c>
      <c r="D113" t="s">
        <v>89</v>
      </c>
      <c r="E113" s="15">
        <f>1.99/8</f>
        <v>0.24875</v>
      </c>
      <c r="F113" s="15">
        <f>E113*4</f>
        <v>0.995</v>
      </c>
    </row>
    <row r="115" spans="1:7" ht="63" x14ac:dyDescent="0.4">
      <c r="F115" s="4" t="s">
        <v>130</v>
      </c>
      <c r="G115" s="16">
        <f>G116/8</f>
        <v>0.42960275319567354</v>
      </c>
    </row>
    <row r="116" spans="1:7" ht="42" x14ac:dyDescent="0.4">
      <c r="F116" s="5" t="s">
        <v>167</v>
      </c>
      <c r="G116" s="17">
        <f>SUM(F108:F113)</f>
        <v>3.4368220255653883</v>
      </c>
    </row>
    <row r="117" spans="1:7" ht="21" x14ac:dyDescent="0.4">
      <c r="F117" s="42" t="s">
        <v>193</v>
      </c>
      <c r="G117" s="42">
        <v>5.16</v>
      </c>
    </row>
    <row r="118" spans="1:7" ht="46.8" x14ac:dyDescent="0.45">
      <c r="A118" s="3" t="s">
        <v>146</v>
      </c>
    </row>
    <row r="119" spans="1:7" ht="31.2" x14ac:dyDescent="0.3">
      <c r="A119" s="2" t="s">
        <v>87</v>
      </c>
      <c r="B119" s="15">
        <v>1.99</v>
      </c>
      <c r="C119" t="s">
        <v>88</v>
      </c>
      <c r="D119" t="s">
        <v>89</v>
      </c>
      <c r="E119" s="15">
        <f>1.99/8</f>
        <v>0.24875</v>
      </c>
      <c r="F119" s="15">
        <f>E119*4</f>
        <v>0.995</v>
      </c>
    </row>
    <row r="120" spans="1:7" ht="46.8" x14ac:dyDescent="0.3">
      <c r="A120" s="2" t="s">
        <v>131</v>
      </c>
      <c r="B120" s="15">
        <v>2.69</v>
      </c>
      <c r="C120" t="s">
        <v>132</v>
      </c>
      <c r="D120" t="s">
        <v>60</v>
      </c>
      <c r="E120" s="15">
        <f>B120/8</f>
        <v>0.33624999999999999</v>
      </c>
      <c r="F120" s="15">
        <f>E120*4</f>
        <v>1.345</v>
      </c>
    </row>
    <row r="121" spans="1:7" ht="62.4" x14ac:dyDescent="0.3">
      <c r="A121" s="2" t="s">
        <v>126</v>
      </c>
      <c r="B121" s="15">
        <v>8.99</v>
      </c>
      <c r="C121" t="s">
        <v>127</v>
      </c>
      <c r="D121" t="s">
        <v>133</v>
      </c>
      <c r="E121" s="15">
        <f>8.99/90</f>
        <v>9.9888888888888888E-2</v>
      </c>
      <c r="F121" s="15">
        <f>E121*8</f>
        <v>0.79911111111111111</v>
      </c>
    </row>
    <row r="122" spans="1:7" ht="31.2" x14ac:dyDescent="0.3">
      <c r="A122" s="2" t="s">
        <v>26</v>
      </c>
      <c r="B122" s="15">
        <v>0.79</v>
      </c>
      <c r="C122" t="s">
        <v>27</v>
      </c>
      <c r="D122" t="s">
        <v>125</v>
      </c>
      <c r="E122" s="15">
        <f>0.79/15.5</f>
        <v>5.0967741935483875E-2</v>
      </c>
      <c r="F122" s="15">
        <f>B122/2</f>
        <v>0.39500000000000002</v>
      </c>
    </row>
    <row r="124" spans="1:7" ht="63" x14ac:dyDescent="0.4">
      <c r="F124" s="4" t="s">
        <v>130</v>
      </c>
      <c r="G124" s="16">
        <f>G125/12</f>
        <v>0.29450925925925925</v>
      </c>
    </row>
    <row r="125" spans="1:7" ht="42" x14ac:dyDescent="0.4">
      <c r="F125" s="5" t="s">
        <v>168</v>
      </c>
      <c r="G125" s="17">
        <f>SUM(F119:F122)</f>
        <v>3.5341111111111112</v>
      </c>
    </row>
    <row r="126" spans="1:7" ht="21" x14ac:dyDescent="0.4">
      <c r="F126" s="25" t="s">
        <v>169</v>
      </c>
      <c r="G126" s="24"/>
    </row>
    <row r="128" spans="1:7" ht="46.8" x14ac:dyDescent="0.45">
      <c r="A128" s="3" t="s">
        <v>145</v>
      </c>
    </row>
    <row r="129" spans="1:8" ht="46.8" x14ac:dyDescent="0.3">
      <c r="A129" s="2" t="s">
        <v>81</v>
      </c>
      <c r="B129" s="15">
        <v>3.99</v>
      </c>
      <c r="C129" t="s">
        <v>82</v>
      </c>
      <c r="D129" t="s">
        <v>107</v>
      </c>
      <c r="E129" s="15">
        <f>3.99/48</f>
        <v>8.3125000000000004E-2</v>
      </c>
      <c r="F129" s="15">
        <f>E129*24</f>
        <v>1.9950000000000001</v>
      </c>
    </row>
    <row r="130" spans="1:8" ht="46.8" x14ac:dyDescent="0.3">
      <c r="A130" s="2" t="s">
        <v>134</v>
      </c>
      <c r="B130" s="15">
        <v>2.19</v>
      </c>
      <c r="C130">
        <v>32</v>
      </c>
      <c r="D130" t="s">
        <v>30</v>
      </c>
      <c r="E130" s="15">
        <f>B130/32</f>
        <v>6.8437499999999998E-2</v>
      </c>
      <c r="F130" s="15">
        <f>E130*16</f>
        <v>1.095</v>
      </c>
    </row>
    <row r="131" spans="1:8" ht="31.2" x14ac:dyDescent="0.3">
      <c r="A131" s="2" t="s">
        <v>135</v>
      </c>
      <c r="B131" s="15">
        <v>2.99</v>
      </c>
      <c r="C131" t="s">
        <v>171</v>
      </c>
      <c r="D131" t="s">
        <v>170</v>
      </c>
      <c r="E131" s="15">
        <f>B131/10.6</f>
        <v>0.28207547169811326</v>
      </c>
      <c r="F131" s="15">
        <f>E131*5.3</f>
        <v>1.4950000000000001</v>
      </c>
      <c r="H131" t="s">
        <v>136</v>
      </c>
    </row>
    <row r="133" spans="1:8" ht="42" x14ac:dyDescent="0.4">
      <c r="F133" s="4" t="s">
        <v>54</v>
      </c>
      <c r="G133" s="16">
        <f>G134/12</f>
        <v>0.38208333333333333</v>
      </c>
    </row>
    <row r="134" spans="1:8" ht="42" x14ac:dyDescent="0.4">
      <c r="F134" s="5" t="s">
        <v>168</v>
      </c>
      <c r="G134" s="17">
        <f>SUM(F129:F131)</f>
        <v>4.585</v>
      </c>
    </row>
    <row r="135" spans="1:8" ht="46.8" x14ac:dyDescent="0.45">
      <c r="A135" s="6" t="s">
        <v>144</v>
      </c>
    </row>
    <row r="136" spans="1:8" ht="46.8" x14ac:dyDescent="0.3">
      <c r="A136" s="2" t="s">
        <v>6</v>
      </c>
      <c r="B136" s="21">
        <v>2.29</v>
      </c>
      <c r="C136" s="1" t="s">
        <v>143</v>
      </c>
      <c r="D136" s="1" t="s">
        <v>2</v>
      </c>
      <c r="E136" s="21">
        <f>2.29/16</f>
        <v>0.143125</v>
      </c>
      <c r="F136" s="21">
        <f>2*E136</f>
        <v>0.28625</v>
      </c>
    </row>
    <row r="137" spans="1:8" ht="46.8" x14ac:dyDescent="0.3">
      <c r="A137" s="2" t="s">
        <v>137</v>
      </c>
      <c r="B137" s="15">
        <v>3.29</v>
      </c>
      <c r="C137" t="s">
        <v>95</v>
      </c>
      <c r="D137" t="s">
        <v>107</v>
      </c>
      <c r="E137" s="15">
        <f>B137/42</f>
        <v>7.8333333333333338E-2</v>
      </c>
      <c r="F137" s="15">
        <f>E137*24</f>
        <v>1.8800000000000001</v>
      </c>
    </row>
    <row r="138" spans="1:8" ht="46.8" x14ac:dyDescent="0.3">
      <c r="A138" s="2" t="s">
        <v>138</v>
      </c>
      <c r="B138" s="15">
        <v>3.49</v>
      </c>
      <c r="C138" t="s">
        <v>139</v>
      </c>
      <c r="D138" t="s">
        <v>116</v>
      </c>
      <c r="E138" s="15">
        <f>B138/20</f>
        <v>0.17450000000000002</v>
      </c>
      <c r="F138" s="15">
        <f>E138*2</f>
        <v>0.34900000000000003</v>
      </c>
    </row>
    <row r="139" spans="1:8" x14ac:dyDescent="0.3">
      <c r="A139" s="2" t="s">
        <v>140</v>
      </c>
      <c r="B139" s="15">
        <v>3.49</v>
      </c>
      <c r="C139" t="s">
        <v>30</v>
      </c>
      <c r="D139" t="s">
        <v>116</v>
      </c>
      <c r="E139" s="15">
        <f>B139/16</f>
        <v>0.21812500000000001</v>
      </c>
      <c r="F139" s="15">
        <f>E139*2</f>
        <v>0.43625000000000003</v>
      </c>
    </row>
    <row r="140" spans="1:8" ht="62.4" x14ac:dyDescent="0.3">
      <c r="A140" s="2" t="s">
        <v>142</v>
      </c>
      <c r="B140" s="15">
        <v>14.99</v>
      </c>
      <c r="C140" t="s">
        <v>141</v>
      </c>
      <c r="D140" t="s">
        <v>116</v>
      </c>
      <c r="E140" s="15">
        <f>14.99/36</f>
        <v>0.41638888888888892</v>
      </c>
      <c r="F140" s="15">
        <f>E140*2</f>
        <v>0.83277777777777784</v>
      </c>
    </row>
    <row r="142" spans="1:8" ht="42" x14ac:dyDescent="0.4">
      <c r="F142" s="4" t="s">
        <v>54</v>
      </c>
      <c r="G142" s="16">
        <f>G143/12</f>
        <v>0.31535648148148149</v>
      </c>
    </row>
    <row r="143" spans="1:8" ht="42" x14ac:dyDescent="0.4">
      <c r="F143" s="5" t="s">
        <v>168</v>
      </c>
      <c r="G143" s="17">
        <f>SUM(F136:F140)</f>
        <v>3.7842777777777781</v>
      </c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Larsen</dc:creator>
  <cp:lastModifiedBy>Karene</cp:lastModifiedBy>
  <cp:lastPrinted>2015-11-18T21:28:31Z</cp:lastPrinted>
  <dcterms:created xsi:type="dcterms:W3CDTF">2015-06-08T18:33:29Z</dcterms:created>
  <dcterms:modified xsi:type="dcterms:W3CDTF">2016-07-05T17:40:26Z</dcterms:modified>
</cp:coreProperties>
</file>